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3 год\"/>
    </mc:Choice>
  </mc:AlternateContent>
  <bookViews>
    <workbookView xWindow="0" yWindow="0" windowWidth="28800" windowHeight="12330"/>
  </bookViews>
  <sheets>
    <sheet name="март" sheetId="1" r:id="rId1"/>
  </sheets>
  <definedNames>
    <definedName name="_xlnm.Print_Area" localSheetId="0">март!$A$1:$FE$66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64" i="1" l="1"/>
  <c r="ED64" i="1" s="1"/>
  <c r="DB56" i="1"/>
  <c r="DB49" i="1"/>
  <c r="DB50" i="1"/>
  <c r="DB39" i="1"/>
  <c r="DB30" i="1"/>
  <c r="DB31" i="1"/>
  <c r="DB34" i="1"/>
  <c r="DB27" i="1"/>
  <c r="DB42" i="1"/>
  <c r="DB35" i="1"/>
  <c r="DB32" i="1"/>
  <c r="DB63" i="1"/>
  <c r="DB59" i="1"/>
  <c r="DB57" i="1"/>
  <c r="DB55" i="1"/>
  <c r="DB46" i="1"/>
  <c r="DB54" i="1"/>
  <c r="DB53" i="1"/>
  <c r="DB52" i="1"/>
  <c r="DB51" i="1"/>
  <c r="DB44" i="1"/>
  <c r="DB43" i="1"/>
  <c r="DB45" i="1"/>
  <c r="DB25" i="1"/>
  <c r="DB23" i="1"/>
  <c r="DB26" i="1"/>
  <c r="DB24" i="1"/>
  <c r="DB40" i="1"/>
  <c r="DB41" i="1"/>
  <c r="DB38" i="1"/>
  <c r="DB37" i="1"/>
  <c r="DB33" i="1"/>
  <c r="DB29" i="1"/>
  <c r="DB60" i="1"/>
  <c r="DB58" i="1"/>
  <c r="DB17" i="1"/>
  <c r="DB36" i="1"/>
  <c r="DB19" i="1"/>
  <c r="DB28" i="1"/>
  <c r="DB62" i="1"/>
  <c r="DB18" i="1"/>
  <c r="DB21" i="1"/>
  <c r="DB61" i="1"/>
  <c r="ED65" i="1" l="1"/>
  <c r="DB66" i="1" l="1"/>
  <c r="CC63" i="1"/>
  <c r="ED63" i="1" s="1"/>
  <c r="CC62" i="1"/>
  <c r="ED62" i="1" s="1"/>
  <c r="CC61" i="1"/>
  <c r="ED61" i="1" s="1"/>
  <c r="CC60" i="1"/>
  <c r="ED60" i="1" s="1"/>
  <c r="CC59" i="1"/>
  <c r="ED59" i="1" s="1"/>
  <c r="CC58" i="1"/>
  <c r="ED58" i="1" s="1"/>
  <c r="CC57" i="1"/>
  <c r="ED57" i="1" s="1"/>
  <c r="CC56" i="1"/>
  <c r="ED56" i="1" s="1"/>
  <c r="CC55" i="1"/>
  <c r="ED55" i="1" s="1"/>
  <c r="CC54" i="1"/>
  <c r="ED54" i="1" s="1"/>
  <c r="CC53" i="1"/>
  <c r="ED53" i="1" s="1"/>
  <c r="CC52" i="1"/>
  <c r="ED52" i="1" s="1"/>
  <c r="CC51" i="1"/>
  <c r="ED51" i="1" s="1"/>
  <c r="CC50" i="1"/>
  <c r="ED50" i="1" s="1"/>
  <c r="CC49" i="1"/>
  <c r="ED49" i="1" s="1"/>
  <c r="CC48" i="1"/>
  <c r="ED48" i="1" s="1"/>
  <c r="CC47" i="1"/>
  <c r="ED47" i="1" s="1"/>
  <c r="CC46" i="1"/>
  <c r="ED46" i="1" s="1"/>
  <c r="CC45" i="1"/>
  <c r="ED45" i="1" s="1"/>
  <c r="CC44" i="1"/>
  <c r="ED44" i="1" s="1"/>
  <c r="CC43" i="1"/>
  <c r="ED43" i="1" s="1"/>
  <c r="CC42" i="1"/>
  <c r="ED42" i="1" s="1"/>
  <c r="CC41" i="1"/>
  <c r="ED41" i="1" s="1"/>
  <c r="CC40" i="1"/>
  <c r="ED40" i="1" s="1"/>
  <c r="CC39" i="1"/>
  <c r="ED39" i="1" s="1"/>
  <c r="CC38" i="1"/>
  <c r="ED38" i="1" s="1"/>
  <c r="CC37" i="1"/>
  <c r="ED37" i="1" s="1"/>
  <c r="CC36" i="1"/>
  <c r="ED36" i="1" s="1"/>
  <c r="CC35" i="1"/>
  <c r="ED35" i="1" s="1"/>
  <c r="CC34" i="1"/>
  <c r="ED34" i="1" s="1"/>
  <c r="CC33" i="1"/>
  <c r="ED33" i="1" s="1"/>
  <c r="CC32" i="1"/>
  <c r="ED32" i="1" s="1"/>
  <c r="CC31" i="1"/>
  <c r="ED31" i="1" s="1"/>
  <c r="CC30" i="1"/>
  <c r="ED30" i="1" s="1"/>
  <c r="CC29" i="1"/>
  <c r="ED29" i="1" s="1"/>
  <c r="CC28" i="1"/>
  <c r="ED28" i="1" s="1"/>
  <c r="CC27" i="1"/>
  <c r="ED27" i="1" s="1"/>
  <c r="CC26" i="1"/>
  <c r="ED26" i="1" s="1"/>
  <c r="CC25" i="1"/>
  <c r="ED25" i="1" s="1"/>
  <c r="CC24" i="1"/>
  <c r="ED24" i="1" s="1"/>
  <c r="CC23" i="1"/>
  <c r="ED23" i="1" s="1"/>
  <c r="CC22" i="1"/>
  <c r="ED22" i="1" s="1"/>
  <c r="CC21" i="1"/>
  <c r="ED21" i="1" s="1"/>
  <c r="CC20" i="1"/>
  <c r="ED20" i="1" s="1"/>
  <c r="CC19" i="1"/>
  <c r="ED19" i="1" s="1"/>
  <c r="CC18" i="1"/>
  <c r="ED18" i="1" s="1"/>
  <c r="CC17" i="1"/>
  <c r="CC66" i="1" l="1"/>
  <c r="ED17" i="1"/>
  <c r="ED66" i="1" s="1"/>
</calcChain>
</file>

<file path=xl/sharedStrings.xml><?xml version="1.0" encoding="utf-8"?>
<sst xmlns="http://schemas.openxmlformats.org/spreadsheetml/2006/main" count="155" uniqueCount="98">
  <si>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</si>
  <si>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</si>
  <si>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</si>
  <si>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</si>
  <si>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</si>
  <si>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</si>
  <si>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</si>
  <si>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март</t>
  </si>
  <si>
    <t>23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</si>
  <si>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</si>
  <si>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</si>
  <si>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</si>
  <si>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</si>
  <si>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</si>
  <si>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</si>
  <si>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</si>
  <si>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</si>
  <si>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</si>
  <si>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</si>
  <si>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</si>
  <si>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5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</si>
  <si>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</si>
  <si>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</si>
  <si>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</si>
  <si>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</si>
  <si>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</si>
  <si>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</si>
  <si>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</si>
  <si>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</si>
  <si>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</si>
  <si>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</si>
  <si>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</si>
  <si>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</si>
  <si>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</si>
  <si>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</si>
  <si>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</si>
  <si>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</si>
  <si>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</si>
  <si>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</si>
  <si>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</si>
  <si>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</si>
  <si>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</si>
  <si>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</si>
  <si>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</si>
  <si>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</si>
  <si>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</si>
  <si>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</si>
  <si>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</si>
  <si>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</si>
  <si>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</si>
  <si>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цех по производству железобетонных изделий</t>
  </si>
  <si>
    <t>ИП 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</si>
  <si>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</si>
  <si>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</si>
  <si>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</si>
  <si>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</si>
  <si>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</si>
  <si>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</si>
  <si>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</si>
  <si>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</si>
  <si>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</si>
  <si>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</si>
  <si>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</si>
  <si>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</si>
  <si>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</si>
  <si>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4-х этажная)</t>
  </si>
  <si>
    <t>ООО "Владимирский стандарт"</t>
  </si>
  <si>
    <t xml:space="preserve">котельная </t>
  </si>
  <si>
    <t>паровая котельная/водогрейная котельная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</si>
  <si>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</si>
  <si>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</si>
  <si>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</si>
  <si>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</si>
  <si>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</si>
  <si>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</si>
  <si>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</si>
  <si>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</si>
  <si>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</si>
  <si>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</si>
  <si>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</si>
  <si>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Борисков Г.А.</t>
  </si>
  <si>
    <t>БМК для теплоснабжения ГБУЗ "Городская больница ЗАТО г.Радужный"</t>
  </si>
  <si>
    <t>ООО ИЦ "Теплосфера"</t>
  </si>
  <si>
    <t>здание для сушки древесины</t>
  </si>
  <si>
    <t>Шибанов А.А.</t>
  </si>
  <si>
    <t>автозаправочная станция стационарного типа</t>
  </si>
  <si>
    <t>ИП Токарева В.Н.</t>
  </si>
  <si>
    <t>ООО "Ревяки"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</si>
  <si>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</si>
  <si>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</si>
  <si>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</si>
  <si>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</si>
  <si>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</si>
  <si>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</si>
  <si>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</si>
  <si>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</si>
  <si>
    <t>коптильный цех</t>
  </si>
  <si>
    <t>Сухолейстер Илья Васильевич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</si>
</sst>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6"/>
  <sheetViews>
    <sheetView tabSelected="1" topLeftCell="A60" zoomScaleNormal="100" zoomScaleSheetLayoutView="100" workbookViewId="0">
      <selection activeCell="DN84" sqref="DN84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44" t="s">
        <v>0</v>
      </c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</row>
    <row r="2" spans="1:161" ht="33" customHeight="1" x14ac:dyDescent="0.25">
      <c r="EF2" s="45" t="s">
        <v>1</v>
      </c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46" t="s">
        <v>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</row>
    <row r="8" spans="1:161" s="7" customFormat="1" ht="15.75" x14ac:dyDescent="0.25">
      <c r="CH8" s="8" t="s">
        <v>4</v>
      </c>
      <c r="CI8" s="47" t="s">
        <v>5</v>
      </c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48" t="s">
        <v>6</v>
      </c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</row>
    <row r="10" spans="1:161" s="7" customFormat="1" ht="15" customHeight="1" x14ac:dyDescent="0.25">
      <c r="BQ10" s="8" t="s">
        <v>95</v>
      </c>
      <c r="BR10" s="49" t="s">
        <v>7</v>
      </c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50">
        <v>20</v>
      </c>
      <c r="CK10" s="50"/>
      <c r="CL10" s="50"/>
      <c r="CM10" s="50"/>
      <c r="CN10" s="51" t="s">
        <v>8</v>
      </c>
      <c r="CO10" s="51"/>
      <c r="CP10" s="51"/>
      <c r="CQ10" s="51"/>
      <c r="CR10" s="11" t="s">
        <v>9</v>
      </c>
      <c r="CV10" s="11"/>
      <c r="CW10" s="11"/>
      <c r="CX10" s="11"/>
    </row>
    <row r="11" spans="1:161" s="12" customFormat="1" ht="11.25" x14ac:dyDescent="0.2">
      <c r="BR11" s="41" t="s">
        <v>10</v>
      </c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</row>
    <row r="12" spans="1:161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</row>
    <row r="13" spans="1:161" s="13" customFormat="1" ht="11.25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</row>
    <row r="14" spans="1:161" s="13" customFormat="1" ht="11.25" x14ac:dyDescent="0.2"/>
    <row r="15" spans="1:161" s="14" customFormat="1" ht="37.5" customHeight="1" x14ac:dyDescent="0.2">
      <c r="A15" s="39" t="s">
        <v>11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 t="s">
        <v>12</v>
      </c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 t="s">
        <v>13</v>
      </c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 t="s">
        <v>14</v>
      </c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 t="s">
        <v>15</v>
      </c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 t="s">
        <v>16</v>
      </c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 t="s">
        <v>17</v>
      </c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</row>
    <row r="16" spans="1:161" s="15" customFormat="1" ht="12" x14ac:dyDescent="0.2">
      <c r="A16" s="40">
        <v>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>
        <v>2</v>
      </c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>
        <v>3</v>
      </c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>
        <v>4</v>
      </c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>
        <v>5</v>
      </c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>
        <v>6</v>
      </c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>
        <v>7</v>
      </c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</row>
    <row r="17" spans="1:161" s="16" customFormat="1" ht="141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2" t="s">
        <v>18</v>
      </c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 t="s">
        <v>19</v>
      </c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1" t="s">
        <v>20</v>
      </c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36">
        <f>54/1000</f>
        <v>5.3999999999999999E-2</v>
      </c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  <c r="DB17" s="17">
        <f>49.04/1000</f>
        <v>4.904E-2</v>
      </c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>
        <f>CC17-DB17</f>
        <v>4.9599999999999991E-3</v>
      </c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</row>
    <row r="18" spans="1:161" s="16" customFormat="1" ht="16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2" t="s">
        <v>21</v>
      </c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 t="s">
        <v>21</v>
      </c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1" t="s">
        <v>20</v>
      </c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17">
        <f>52/1000</f>
        <v>5.1999999999999998E-2</v>
      </c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>
        <f>40.666/1000</f>
        <v>4.0665999999999994E-2</v>
      </c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>
        <f t="shared" ref="ED18:ED65" si="0">CC18-DB18</f>
        <v>1.1334000000000004E-2</v>
      </c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</row>
    <row r="19" spans="1:161" s="16" customFormat="1" ht="40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33" t="s">
        <v>22</v>
      </c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5"/>
      <c r="AQ19" s="23" t="s">
        <v>23</v>
      </c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5"/>
      <c r="BK19" s="21" t="s">
        <v>20</v>
      </c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17">
        <f>107.181/1000</f>
        <v>0.107181</v>
      </c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>
        <f>82.112/1000</f>
        <v>8.2111999999999991E-2</v>
      </c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>
        <f t="shared" si="0"/>
        <v>2.5069000000000008E-2</v>
      </c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</row>
    <row r="20" spans="1:161" s="16" customFormat="1" ht="30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33" t="s">
        <v>24</v>
      </c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5"/>
      <c r="AQ20" s="30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2"/>
      <c r="BK20" s="21" t="s">
        <v>25</v>
      </c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17">
        <f>320.596/1000</f>
        <v>0.32059599999999999</v>
      </c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>
        <v>0.224629</v>
      </c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>
        <f t="shared" si="0"/>
        <v>9.5966999999999997E-2</v>
      </c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</row>
    <row r="21" spans="1:161" s="16" customFormat="1" ht="16.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3" t="s">
        <v>26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5"/>
      <c r="AQ21" s="26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8"/>
      <c r="BK21" s="21" t="s">
        <v>20</v>
      </c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17">
        <f>105.035/1000</f>
        <v>0.105035</v>
      </c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>
        <f>79.226/1000</f>
        <v>7.9226000000000005E-2</v>
      </c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>
        <f t="shared" si="0"/>
        <v>2.5808999999999999E-2</v>
      </c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</row>
    <row r="22" spans="1:161" s="16" customFormat="1" ht="16.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2" t="s">
        <v>5</v>
      </c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 t="s">
        <v>5</v>
      </c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1" t="s">
        <v>27</v>
      </c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17">
        <f>3332.761/1000</f>
        <v>3.3327610000000001</v>
      </c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>
        <v>2.2556669999999999</v>
      </c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>
        <f t="shared" si="0"/>
        <v>1.0770940000000002</v>
      </c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</row>
    <row r="23" spans="1:161" s="16" customFormat="1" ht="27" customHeight="1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22" t="s">
        <v>28</v>
      </c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 t="s">
        <v>29</v>
      </c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5"/>
      <c r="BK23" s="21" t="s">
        <v>30</v>
      </c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17">
        <f>2.2/1000</f>
        <v>2.2000000000000001E-3</v>
      </c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>
        <f>0.492/1000</f>
        <v>4.9200000000000003E-4</v>
      </c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>
        <f t="shared" si="0"/>
        <v>1.7080000000000001E-3</v>
      </c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</row>
    <row r="24" spans="1:161" s="16" customFormat="1" ht="16.5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2" t="s">
        <v>31</v>
      </c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30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2"/>
      <c r="BK24" s="21" t="s">
        <v>30</v>
      </c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17">
        <f>1.523/1000</f>
        <v>1.5229999999999998E-3</v>
      </c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>
        <f>0.494/1000</f>
        <v>4.9399999999999997E-4</v>
      </c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>
        <f t="shared" si="0"/>
        <v>1.029E-3</v>
      </c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</row>
    <row r="25" spans="1:161" s="16" customFormat="1" ht="30" customHeight="1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22" t="s">
        <v>32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30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2"/>
      <c r="BK25" s="21" t="s">
        <v>30</v>
      </c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17">
        <f>1.523/1000</f>
        <v>1.5229999999999998E-3</v>
      </c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>
        <f>1.417/1000</f>
        <v>1.4170000000000001E-3</v>
      </c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>
        <f t="shared" si="0"/>
        <v>1.0599999999999976E-4</v>
      </c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</row>
    <row r="26" spans="1:161" s="16" customFormat="1" ht="16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2" t="s">
        <v>33</v>
      </c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6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8"/>
      <c r="BK26" s="21" t="s">
        <v>30</v>
      </c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17">
        <f>2.2/1000</f>
        <v>2.2000000000000001E-3</v>
      </c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>
        <f>1.603/1000</f>
        <v>1.603E-3</v>
      </c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>
        <f t="shared" si="0"/>
        <v>5.9700000000000009E-4</v>
      </c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</row>
    <row r="27" spans="1:161" s="16" customFormat="1" ht="16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29" t="s">
        <v>34</v>
      </c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2" t="s">
        <v>35</v>
      </c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1" t="s">
        <v>36</v>
      </c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17">
        <f>0.85/1000</f>
        <v>8.4999999999999995E-4</v>
      </c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>
        <f>0.318/1000</f>
        <v>3.1800000000000003E-4</v>
      </c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>
        <f t="shared" si="0"/>
        <v>5.3199999999999992E-4</v>
      </c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</row>
    <row r="28" spans="1:161" s="16" customFormat="1" ht="30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2" t="s">
        <v>37</v>
      </c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 t="s">
        <v>38</v>
      </c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1" t="s">
        <v>20</v>
      </c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17">
        <f>18/1000</f>
        <v>1.7999999999999999E-2</v>
      </c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>
        <f>19.696/1000</f>
        <v>1.9696000000000002E-2</v>
      </c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>
        <f t="shared" si="0"/>
        <v>-1.6960000000000031E-3</v>
      </c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</row>
    <row r="29" spans="1:161" s="16" customFormat="1" ht="29.2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22" t="s">
        <v>39</v>
      </c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 t="s">
        <v>40</v>
      </c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1" t="s">
        <v>30</v>
      </c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17">
        <f>10/1000</f>
        <v>0.01</v>
      </c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>
        <f>10.502/1000</f>
        <v>1.0502000000000001E-2</v>
      </c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>
        <f t="shared" si="0"/>
        <v>-5.0200000000000071E-4</v>
      </c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</row>
    <row r="30" spans="1:161" s="16" customFormat="1" ht="16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9" t="s">
        <v>41</v>
      </c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2" t="s">
        <v>42</v>
      </c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1" t="s">
        <v>36</v>
      </c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17">
        <f>0.85/1000</f>
        <v>8.4999999999999995E-4</v>
      </c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>
        <f>0.39/1000</f>
        <v>3.8999999999999999E-4</v>
      </c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>
        <f t="shared" si="0"/>
        <v>4.5999999999999996E-4</v>
      </c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</row>
    <row r="31" spans="1:161" s="16" customFormat="1" ht="16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29" t="s">
        <v>34</v>
      </c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2" t="s">
        <v>43</v>
      </c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1" t="s">
        <v>36</v>
      </c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17">
        <f>1.17/1000</f>
        <v>1.17E-3</v>
      </c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>
        <f>0.158/1000</f>
        <v>1.5799999999999999E-4</v>
      </c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>
        <f t="shared" si="0"/>
        <v>1.0120000000000001E-3</v>
      </c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</row>
    <row r="32" spans="1:161" s="16" customFormat="1" ht="16.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9" t="s">
        <v>44</v>
      </c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2" t="s">
        <v>45</v>
      </c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1" t="s">
        <v>36</v>
      </c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17">
        <f>0.85/1000</f>
        <v>8.4999999999999995E-4</v>
      </c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>
        <f>0.417/1000</f>
        <v>4.17E-4</v>
      </c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>
        <f t="shared" si="0"/>
        <v>4.3299999999999995E-4</v>
      </c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</row>
    <row r="33" spans="1:161" s="16" customFormat="1" ht="16.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9" t="s">
        <v>46</v>
      </c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2" t="s">
        <v>47</v>
      </c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1" t="s">
        <v>30</v>
      </c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17">
        <f>1.68/1000</f>
        <v>1.6799999999999999E-3</v>
      </c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>
        <f>0.938/1000</f>
        <v>9.3799999999999992E-4</v>
      </c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>
        <f t="shared" si="0"/>
        <v>7.4199999999999993E-4</v>
      </c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</row>
    <row r="34" spans="1:161" s="16" customFormat="1" ht="16.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9" t="s">
        <v>34</v>
      </c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2" t="s">
        <v>48</v>
      </c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1" t="s">
        <v>36</v>
      </c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17">
        <f>1/1000</f>
        <v>1E-3</v>
      </c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>
        <f>0.365/1000</f>
        <v>3.6499999999999998E-4</v>
      </c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>
        <f t="shared" si="0"/>
        <v>6.3500000000000004E-4</v>
      </c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</row>
    <row r="35" spans="1:161" s="16" customFormat="1" ht="16.5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9" t="s">
        <v>46</v>
      </c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2" t="s">
        <v>49</v>
      </c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1" t="s">
        <v>36</v>
      </c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17">
        <f>0.92/1000</f>
        <v>9.2000000000000003E-4</v>
      </c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>
        <f>0.187/1000</f>
        <v>1.8699999999999999E-4</v>
      </c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>
        <f t="shared" si="0"/>
        <v>7.3300000000000004E-4</v>
      </c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</row>
    <row r="36" spans="1:161" s="16" customFormat="1" ht="36.7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2" t="s">
        <v>50</v>
      </c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 t="s">
        <v>51</v>
      </c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1" t="s">
        <v>20</v>
      </c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17">
        <f>28.613/1000</f>
        <v>2.8613E-2</v>
      </c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>
        <f>15.138/1000</f>
        <v>1.5138E-2</v>
      </c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>
        <f t="shared" si="0"/>
        <v>1.3474999999999999E-2</v>
      </c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1" s="16" customFormat="1" ht="16.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9" t="s">
        <v>52</v>
      </c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3" t="s">
        <v>53</v>
      </c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5"/>
      <c r="BK37" s="21" t="s">
        <v>30</v>
      </c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17">
        <f>2/1000</f>
        <v>2E-3</v>
      </c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>
        <f>1.762/1000</f>
        <v>1.7620000000000001E-3</v>
      </c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>
        <f t="shared" si="0"/>
        <v>2.3799999999999993E-4</v>
      </c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1" s="16" customFormat="1" ht="16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9" t="s">
        <v>54</v>
      </c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6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8"/>
      <c r="BK38" s="21" t="s">
        <v>30</v>
      </c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17">
        <f>3/1000</f>
        <v>3.0000000000000001E-3</v>
      </c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>
        <f>2.659/1000</f>
        <v>2.6589999999999999E-3</v>
      </c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>
        <f t="shared" si="0"/>
        <v>3.4100000000000016E-4</v>
      </c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</row>
    <row r="39" spans="1:161" s="16" customFormat="1" ht="16.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9" t="s">
        <v>34</v>
      </c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2" t="s">
        <v>55</v>
      </c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1" t="s">
        <v>36</v>
      </c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17">
        <f>0.397/1000</f>
        <v>3.97E-4</v>
      </c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>
        <f>0.38/1000</f>
        <v>3.8000000000000002E-4</v>
      </c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>
        <f t="shared" si="0"/>
        <v>1.699999999999998E-5</v>
      </c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</row>
    <row r="40" spans="1:161" s="16" customFormat="1" ht="16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9" t="s">
        <v>56</v>
      </c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2" t="s">
        <v>57</v>
      </c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1" t="s">
        <v>30</v>
      </c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17">
        <f>1.68/1000</f>
        <v>1.6799999999999999E-3</v>
      </c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>
        <f>0.644/1000</f>
        <v>6.4400000000000004E-4</v>
      </c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>
        <f t="shared" si="0"/>
        <v>1.0359999999999998E-3</v>
      </c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</row>
    <row r="41" spans="1:161" s="16" customFormat="1" ht="16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9" t="s">
        <v>58</v>
      </c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3" t="s">
        <v>59</v>
      </c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5"/>
      <c r="BK41" s="21" t="s">
        <v>30</v>
      </c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17">
        <f>1/1000</f>
        <v>1E-3</v>
      </c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>
        <f>0.892/1000</f>
        <v>8.92E-4</v>
      </c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>
        <f t="shared" si="0"/>
        <v>1.0800000000000002E-4</v>
      </c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</row>
    <row r="42" spans="1:161" s="16" customFormat="1" ht="16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9" t="s">
        <v>58</v>
      </c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8"/>
      <c r="BK42" s="21" t="s">
        <v>36</v>
      </c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17">
        <f>0.63/1000</f>
        <v>6.3000000000000003E-4</v>
      </c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>
        <f>0.365/1000</f>
        <v>3.6499999999999998E-4</v>
      </c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>
        <f t="shared" si="0"/>
        <v>2.6500000000000004E-4</v>
      </c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</row>
    <row r="43" spans="1:161" s="16" customFormat="1" ht="16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9" t="s">
        <v>34</v>
      </c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2" t="s">
        <v>60</v>
      </c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1" t="s">
        <v>30</v>
      </c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17">
        <f>1.6/1000</f>
        <v>1.6000000000000001E-3</v>
      </c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>
        <f>0.499/1000</f>
        <v>4.9899999999999999E-4</v>
      </c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>
        <f t="shared" si="0"/>
        <v>1.101E-3</v>
      </c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</row>
    <row r="44" spans="1:161" s="16" customFormat="1" ht="39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2" t="s">
        <v>61</v>
      </c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 t="s">
        <v>62</v>
      </c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1" t="s">
        <v>30</v>
      </c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17">
        <f>1.5/1000</f>
        <v>1.5E-3</v>
      </c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>
        <f>0.479/1000</f>
        <v>4.7899999999999999E-4</v>
      </c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>
        <f t="shared" si="0"/>
        <v>1.021E-3</v>
      </c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</row>
    <row r="45" spans="1:161" s="16" customFormat="1" ht="16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9" t="s">
        <v>63</v>
      </c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2" t="s">
        <v>64</v>
      </c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1" t="s">
        <v>30</v>
      </c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17">
        <f>5.7/1000</f>
        <v>5.7000000000000002E-3</v>
      </c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>
        <f>1.1/1000</f>
        <v>1.1000000000000001E-3</v>
      </c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>
        <f t="shared" si="0"/>
        <v>4.5999999999999999E-3</v>
      </c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</row>
    <row r="46" spans="1:161" s="16" customFormat="1" ht="27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2" t="s">
        <v>65</v>
      </c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3" t="s">
        <v>66</v>
      </c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5"/>
      <c r="BK46" s="21" t="s">
        <v>30</v>
      </c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17">
        <f>1.5/1000</f>
        <v>1.5E-3</v>
      </c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>
        <f>0.84/1000</f>
        <v>8.3999999999999993E-4</v>
      </c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>
        <f t="shared" si="0"/>
        <v>6.600000000000001E-4</v>
      </c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</row>
    <row r="47" spans="1:161" s="16" customFormat="1" ht="45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2" t="s">
        <v>67</v>
      </c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30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2"/>
      <c r="BK47" s="21" t="s">
        <v>25</v>
      </c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17">
        <f>95/1000</f>
        <v>9.5000000000000001E-2</v>
      </c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>
        <v>0.10642</v>
      </c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>
        <f t="shared" si="0"/>
        <v>-1.142E-2</v>
      </c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</row>
    <row r="48" spans="1:161" s="16" customFormat="1" ht="43.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2" t="s">
        <v>68</v>
      </c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6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8"/>
      <c r="BK48" s="21" t="s">
        <v>25</v>
      </c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17">
        <f>170/1000</f>
        <v>0.17</v>
      </c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>
        <v>0.173482</v>
      </c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>
        <f t="shared" si="0"/>
        <v>-3.4819999999999851E-3</v>
      </c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</row>
    <row r="49" spans="1:161" s="16" customFormat="1" ht="24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9" t="s">
        <v>34</v>
      </c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2" t="s">
        <v>69</v>
      </c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1" t="s">
        <v>36</v>
      </c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17">
        <f>1.4/1000</f>
        <v>1.4E-3</v>
      </c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>
        <f>0.315/1000</f>
        <v>3.1500000000000001E-4</v>
      </c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>
        <f t="shared" si="0"/>
        <v>1.085E-3</v>
      </c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</row>
    <row r="50" spans="1:161" s="16" customFormat="1" ht="24.7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9" t="s">
        <v>34</v>
      </c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3" t="s">
        <v>70</v>
      </c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5"/>
      <c r="BK50" s="21" t="s">
        <v>36</v>
      </c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17">
        <f>0.7/1000</f>
        <v>6.9999999999999999E-4</v>
      </c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>
        <f>0.218/1000</f>
        <v>2.1799999999999999E-4</v>
      </c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>
        <f t="shared" si="0"/>
        <v>4.8200000000000001E-4</v>
      </c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</row>
    <row r="51" spans="1:161" s="16" customFormat="1" ht="24.7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9" t="s">
        <v>34</v>
      </c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6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8"/>
      <c r="BK51" s="21" t="s">
        <v>30</v>
      </c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17">
        <f>12.315/1000</f>
        <v>1.2315E-2</v>
      </c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>
        <f>2.565/1000</f>
        <v>2.565E-3</v>
      </c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>
        <f t="shared" si="0"/>
        <v>9.75E-3</v>
      </c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</row>
    <row r="52" spans="1:161" s="16" customFormat="1" ht="24.7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9" t="s">
        <v>71</v>
      </c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2" t="s">
        <v>72</v>
      </c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1" t="s">
        <v>30</v>
      </c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17">
        <f>2.278/1000</f>
        <v>2.2780000000000001E-3</v>
      </c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>
        <f>0.275/1000</f>
        <v>2.7500000000000002E-4</v>
      </c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>
        <f t="shared" si="0"/>
        <v>2.003E-3</v>
      </c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</row>
    <row r="53" spans="1:161" s="16" customFormat="1" ht="24.7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9" t="s">
        <v>73</v>
      </c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3" t="s">
        <v>74</v>
      </c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5"/>
      <c r="BK53" s="21" t="s">
        <v>30</v>
      </c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17">
        <f>3.109/1000</f>
        <v>3.1089999999999998E-3</v>
      </c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>
        <f>1.201/1000</f>
        <v>1.201E-3</v>
      </c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>
        <f t="shared" si="0"/>
        <v>1.9079999999999998E-3</v>
      </c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</row>
    <row r="54" spans="1:161" s="16" customFormat="1" ht="24.7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22" t="s">
        <v>75</v>
      </c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6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8"/>
      <c r="BK54" s="21" t="s">
        <v>30</v>
      </c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17">
        <f>2.778/1000</f>
        <v>2.7780000000000001E-3</v>
      </c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>
        <f>0.861/1000</f>
        <v>8.61E-4</v>
      </c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>
        <f t="shared" si="0"/>
        <v>1.9170000000000001E-3</v>
      </c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</row>
    <row r="55" spans="1:161" s="16" customFormat="1" ht="24.7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29" t="s">
        <v>76</v>
      </c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2" t="s">
        <v>77</v>
      </c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1" t="s">
        <v>30</v>
      </c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17">
        <f>4.976/1000</f>
        <v>4.9760000000000004E-3</v>
      </c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>
        <f>0.132/1000</f>
        <v>1.3200000000000001E-4</v>
      </c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>
        <f t="shared" si="0"/>
        <v>4.8440000000000002E-3</v>
      </c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  <c r="EZ55" s="17"/>
      <c r="FA55" s="17"/>
      <c r="FB55" s="17"/>
      <c r="FC55" s="17"/>
      <c r="FD55" s="17"/>
      <c r="FE55" s="17"/>
    </row>
    <row r="56" spans="1:161" s="16" customFormat="1" ht="24.7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22" t="s">
        <v>78</v>
      </c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 t="s">
        <v>79</v>
      </c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1" t="s">
        <v>36</v>
      </c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17">
        <f>1/1000</f>
        <v>1E-3</v>
      </c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>
        <f>0.386/1000</f>
        <v>3.86E-4</v>
      </c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>
        <f t="shared" si="0"/>
        <v>6.1399999999999996E-4</v>
      </c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</row>
    <row r="57" spans="1:161" s="16" customFormat="1" ht="24.7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22" t="s">
        <v>28</v>
      </c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 t="s">
        <v>80</v>
      </c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1" t="s">
        <v>30</v>
      </c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17">
        <f>8.21/1000</f>
        <v>8.2100000000000003E-3</v>
      </c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>
        <f>0.013/1000</f>
        <v>1.2999999999999999E-5</v>
      </c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>
        <f t="shared" si="0"/>
        <v>8.1969999999999994E-3</v>
      </c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17"/>
      <c r="FC57" s="17"/>
      <c r="FD57" s="17"/>
      <c r="FE57" s="17"/>
    </row>
    <row r="58" spans="1:161" s="16" customFormat="1" ht="54.7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22" t="s">
        <v>81</v>
      </c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 t="s">
        <v>82</v>
      </c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1" t="s">
        <v>20</v>
      </c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17">
        <f>111.98/1000</f>
        <v>0.11198000000000001</v>
      </c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>
        <f>11.865/1000</f>
        <v>1.1865000000000001E-2</v>
      </c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>
        <f t="shared" si="0"/>
        <v>0.10011500000000001</v>
      </c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17"/>
      <c r="ET58" s="17"/>
      <c r="EU58" s="17"/>
      <c r="EV58" s="17"/>
      <c r="EW58" s="17"/>
      <c r="EX58" s="17"/>
      <c r="EY58" s="17"/>
      <c r="EZ58" s="17"/>
      <c r="FA58" s="17"/>
      <c r="FB58" s="17"/>
      <c r="FC58" s="17"/>
      <c r="FD58" s="17"/>
      <c r="FE58" s="17"/>
    </row>
    <row r="59" spans="1:161" s="16" customFormat="1" ht="24.7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22" t="s">
        <v>83</v>
      </c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 t="s">
        <v>84</v>
      </c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1" t="s">
        <v>30</v>
      </c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17">
        <f>8.21/1000</f>
        <v>8.2100000000000003E-3</v>
      </c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>
        <f>0.074/1000</f>
        <v>7.3999999999999996E-5</v>
      </c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>
        <f t="shared" si="0"/>
        <v>8.1360000000000009E-3</v>
      </c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7"/>
      <c r="FC59" s="17"/>
      <c r="FD59" s="17"/>
      <c r="FE59" s="17"/>
    </row>
    <row r="60" spans="1:161" s="16" customFormat="1" ht="40.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22" t="s">
        <v>85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 t="s">
        <v>86</v>
      </c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1" t="s">
        <v>30</v>
      </c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17">
        <f>1.387/1000</f>
        <v>1.387E-3</v>
      </c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>
        <f>1.524/1000</f>
        <v>1.524E-3</v>
      </c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>
        <f t="shared" si="0"/>
        <v>-1.3699999999999997E-4</v>
      </c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17"/>
      <c r="ET60" s="17"/>
      <c r="EU60" s="17"/>
      <c r="EV60" s="17"/>
      <c r="EW60" s="17"/>
      <c r="EX60" s="17"/>
      <c r="EY60" s="17"/>
      <c r="EZ60" s="17"/>
      <c r="FA60" s="17"/>
      <c r="FB60" s="17"/>
      <c r="FC60" s="17"/>
      <c r="FD60" s="17"/>
      <c r="FE60" s="17"/>
    </row>
    <row r="61" spans="1:161" s="16" customFormat="1" ht="24.7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29" t="s">
        <v>87</v>
      </c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2" t="s">
        <v>87</v>
      </c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1" t="s">
        <v>20</v>
      </c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17">
        <f>44.28/1000</f>
        <v>4.428E-2</v>
      </c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>
        <f>20.613/1000</f>
        <v>2.0612999999999999E-2</v>
      </c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>
        <f t="shared" si="0"/>
        <v>2.3667000000000001E-2</v>
      </c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17"/>
      <c r="ER61" s="17"/>
      <c r="ES61" s="17"/>
      <c r="ET61" s="17"/>
      <c r="EU61" s="17"/>
      <c r="EV61" s="17"/>
      <c r="EW61" s="17"/>
      <c r="EX61" s="17"/>
      <c r="EY61" s="17"/>
      <c r="EZ61" s="17"/>
      <c r="FA61" s="17"/>
      <c r="FB61" s="17"/>
      <c r="FC61" s="17"/>
      <c r="FD61" s="17"/>
      <c r="FE61" s="17"/>
    </row>
    <row r="62" spans="1:161" s="16" customFormat="1" ht="32.2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22" t="s">
        <v>88</v>
      </c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3" t="s">
        <v>89</v>
      </c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5"/>
      <c r="BK62" s="21" t="s">
        <v>20</v>
      </c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17">
        <f>34/1000</f>
        <v>3.4000000000000002E-2</v>
      </c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>
        <f>12.635/1000</f>
        <v>1.2635E-2</v>
      </c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>
        <f t="shared" si="0"/>
        <v>2.1365000000000002E-2</v>
      </c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17"/>
      <c r="ET62" s="17"/>
      <c r="EU62" s="17"/>
      <c r="EV62" s="17"/>
      <c r="EW62" s="17"/>
      <c r="EX62" s="17"/>
      <c r="EY62" s="17"/>
      <c r="EZ62" s="17"/>
      <c r="FA62" s="17"/>
      <c r="FB62" s="17"/>
      <c r="FC62" s="17"/>
      <c r="FD62" s="17"/>
      <c r="FE62" s="17"/>
    </row>
    <row r="63" spans="1:161" s="16" customFormat="1" ht="36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22" t="s">
        <v>90</v>
      </c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6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8"/>
      <c r="BK63" s="21" t="s">
        <v>36</v>
      </c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17">
        <f>1/1000</f>
        <v>1E-3</v>
      </c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>
        <f>0.394/1000</f>
        <v>3.9400000000000004E-4</v>
      </c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>
        <f t="shared" si="0"/>
        <v>6.0599999999999998E-4</v>
      </c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</row>
    <row r="64" spans="1:161" s="52" customFormat="1" ht="24.7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29" t="s">
        <v>96</v>
      </c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2" t="s">
        <v>97</v>
      </c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1" t="s">
        <v>30</v>
      </c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17">
        <v>0</v>
      </c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>
        <f>1.702/1000</f>
        <v>1.702E-3</v>
      </c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>
        <f t="shared" si="0"/>
        <v>-1.702E-3</v>
      </c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</row>
    <row r="65" spans="1:161" s="16" customFormat="1" ht="52.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22" t="s">
        <v>91</v>
      </c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 t="s">
        <v>92</v>
      </c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1" t="s">
        <v>93</v>
      </c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17">
        <v>0.15</v>
      </c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>
        <v>0.176897</v>
      </c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>
        <f t="shared" si="0"/>
        <v>-2.6897000000000004E-2</v>
      </c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</row>
    <row r="66" spans="1:161" s="16" customFormat="1" ht="16.5" customHeight="1" x14ac:dyDescent="0.2">
      <c r="A66" s="17" t="s">
        <v>94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17">
        <f>SUM(CC17:DA65)</f>
        <v>4.7145820000000027</v>
      </c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>
        <f>SUM(DB17:EC65)</f>
        <v>3.3046469999999983</v>
      </c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>
        <f>SUM(ED17:FE65)</f>
        <v>1.4099349999999997</v>
      </c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</row>
  </sheetData>
  <mergeCells count="363">
    <mergeCell ref="ED64:FE64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ED19:FE19"/>
    <mergeCell ref="A20:U20"/>
    <mergeCell ref="V20:AP20"/>
    <mergeCell ref="BK20:CB20"/>
    <mergeCell ref="CC20:DA20"/>
    <mergeCell ref="DB20:EC20"/>
    <mergeCell ref="ED20:FE20"/>
    <mergeCell ref="A19:U19"/>
    <mergeCell ref="V19:AP19"/>
    <mergeCell ref="AQ19:BJ21"/>
    <mergeCell ref="BK19:CB19"/>
    <mergeCell ref="CC19:DA19"/>
    <mergeCell ref="DB19:EC19"/>
    <mergeCell ref="A21:U21"/>
    <mergeCell ref="V21:AP21"/>
    <mergeCell ref="BK21:CB21"/>
    <mergeCell ref="CC21:DA21"/>
    <mergeCell ref="CC25:DA25"/>
    <mergeCell ref="DB21:EC21"/>
    <mergeCell ref="ED21:FE21"/>
    <mergeCell ref="A22:U22"/>
    <mergeCell ref="V22:AP22"/>
    <mergeCell ref="AQ22:BJ22"/>
    <mergeCell ref="BK22:CB22"/>
    <mergeCell ref="CC22:DA22"/>
    <mergeCell ref="DB22:EC22"/>
    <mergeCell ref="ED22:FE22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3:FE23"/>
    <mergeCell ref="A24:U24"/>
    <mergeCell ref="V24:AP24"/>
    <mergeCell ref="BK24:CB24"/>
    <mergeCell ref="CC24:DA24"/>
    <mergeCell ref="DB24:EC24"/>
    <mergeCell ref="ED24:FE24"/>
    <mergeCell ref="A23:U23"/>
    <mergeCell ref="V23:AP23"/>
    <mergeCell ref="AQ23:BJ26"/>
    <mergeCell ref="BK23:CB23"/>
    <mergeCell ref="CC23:DA23"/>
    <mergeCell ref="DB23:EC23"/>
    <mergeCell ref="A25:U25"/>
    <mergeCell ref="V25:AP25"/>
    <mergeCell ref="BK25:CB25"/>
    <mergeCell ref="ED27:FE27"/>
    <mergeCell ref="A28:U28"/>
    <mergeCell ref="V28:AP28"/>
    <mergeCell ref="AQ28:BJ28"/>
    <mergeCell ref="BK28:CB28"/>
    <mergeCell ref="CC28:DA28"/>
    <mergeCell ref="DB28:EC28"/>
    <mergeCell ref="ED28:FE28"/>
    <mergeCell ref="A27:U27"/>
    <mergeCell ref="V27:AP27"/>
    <mergeCell ref="AQ27:BJ27"/>
    <mergeCell ref="BK27:CB27"/>
    <mergeCell ref="CC27:DA27"/>
    <mergeCell ref="DB27:EC27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7:FE37"/>
    <mergeCell ref="A38:U38"/>
    <mergeCell ref="V38:AP38"/>
    <mergeCell ref="BK38:CB38"/>
    <mergeCell ref="CC38:DA38"/>
    <mergeCell ref="DB38:EC38"/>
    <mergeCell ref="ED38:FE38"/>
    <mergeCell ref="A37:U37"/>
    <mergeCell ref="V37:AP37"/>
    <mergeCell ref="AQ37:BJ38"/>
    <mergeCell ref="BK37:CB37"/>
    <mergeCell ref="CC37:DA37"/>
    <mergeCell ref="DB37:EC37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A39:U39"/>
    <mergeCell ref="V39:AP39"/>
    <mergeCell ref="AQ39:BJ39"/>
    <mergeCell ref="BK39:CB39"/>
    <mergeCell ref="CC39:DA39"/>
    <mergeCell ref="DB39:EC39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5:FE45"/>
    <mergeCell ref="A46:U46"/>
    <mergeCell ref="V46:AP46"/>
    <mergeCell ref="AQ46:BJ48"/>
    <mergeCell ref="BK46:CB46"/>
    <mergeCell ref="CC46:DA46"/>
    <mergeCell ref="DB46:EC46"/>
    <mergeCell ref="ED46:FE46"/>
    <mergeCell ref="A47:U47"/>
    <mergeCell ref="V47:AP47"/>
    <mergeCell ref="A45:U45"/>
    <mergeCell ref="V45:AP45"/>
    <mergeCell ref="AQ45:BJ45"/>
    <mergeCell ref="BK45:CB45"/>
    <mergeCell ref="CC45:DA45"/>
    <mergeCell ref="DB45:EC45"/>
    <mergeCell ref="BK47:CB47"/>
    <mergeCell ref="CC47:DA47"/>
    <mergeCell ref="DB47:EC47"/>
    <mergeCell ref="ED47:FE47"/>
    <mergeCell ref="A48:U48"/>
    <mergeCell ref="V48:AP48"/>
    <mergeCell ref="BK48:CB48"/>
    <mergeCell ref="CC48:DA48"/>
    <mergeCell ref="DB48:EC48"/>
    <mergeCell ref="ED48:FE48"/>
    <mergeCell ref="ED49:FE49"/>
    <mergeCell ref="A50:U50"/>
    <mergeCell ref="V50:AP50"/>
    <mergeCell ref="AQ50:BJ51"/>
    <mergeCell ref="BK50:CB50"/>
    <mergeCell ref="CC50:DA50"/>
    <mergeCell ref="DB50:EC50"/>
    <mergeCell ref="ED50:FE50"/>
    <mergeCell ref="A51:U51"/>
    <mergeCell ref="V51:AP51"/>
    <mergeCell ref="A49:U49"/>
    <mergeCell ref="V49:AP49"/>
    <mergeCell ref="AQ49:BJ49"/>
    <mergeCell ref="BK49:CB49"/>
    <mergeCell ref="CC49:DA49"/>
    <mergeCell ref="DB49:EC49"/>
    <mergeCell ref="BK51:CB51"/>
    <mergeCell ref="CC51:DA51"/>
    <mergeCell ref="DB51:EC51"/>
    <mergeCell ref="ED51:FE51"/>
    <mergeCell ref="A52:U52"/>
    <mergeCell ref="V52:AP52"/>
    <mergeCell ref="AQ52:BJ52"/>
    <mergeCell ref="BK52:CB52"/>
    <mergeCell ref="CC52:DA52"/>
    <mergeCell ref="DB52:EC52"/>
    <mergeCell ref="ED52:FE52"/>
    <mergeCell ref="A53:U53"/>
    <mergeCell ref="V53:AP53"/>
    <mergeCell ref="AQ53:BJ54"/>
    <mergeCell ref="BK53:CB53"/>
    <mergeCell ref="CC53:DA53"/>
    <mergeCell ref="DB53:EC53"/>
    <mergeCell ref="ED53:FE53"/>
    <mergeCell ref="A54:U54"/>
    <mergeCell ref="V54:AP54"/>
    <mergeCell ref="ED55:FE55"/>
    <mergeCell ref="A56:U56"/>
    <mergeCell ref="V56:AP56"/>
    <mergeCell ref="AQ56:BJ56"/>
    <mergeCell ref="BK56:CB56"/>
    <mergeCell ref="CC56:DA56"/>
    <mergeCell ref="DB56:EC56"/>
    <mergeCell ref="ED56:FE56"/>
    <mergeCell ref="BK54:CB54"/>
    <mergeCell ref="CC54:DA54"/>
    <mergeCell ref="DB54:EC54"/>
    <mergeCell ref="ED54:FE54"/>
    <mergeCell ref="A55:U55"/>
    <mergeCell ref="V55:AP55"/>
    <mergeCell ref="AQ55:BJ55"/>
    <mergeCell ref="BK55:CB55"/>
    <mergeCell ref="CC55:DA55"/>
    <mergeCell ref="DB55:EC55"/>
    <mergeCell ref="ED57:FE57"/>
    <mergeCell ref="A58:U58"/>
    <mergeCell ref="V58:AP58"/>
    <mergeCell ref="AQ58:BJ58"/>
    <mergeCell ref="BK58:CB58"/>
    <mergeCell ref="CC58:DA58"/>
    <mergeCell ref="DB58:EC58"/>
    <mergeCell ref="ED58:FE58"/>
    <mergeCell ref="A57:U57"/>
    <mergeCell ref="V57:AP57"/>
    <mergeCell ref="AQ57:BJ57"/>
    <mergeCell ref="BK57:CB57"/>
    <mergeCell ref="CC57:DA57"/>
    <mergeCell ref="DB57:EC57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A59:U59"/>
    <mergeCell ref="V59:AP59"/>
    <mergeCell ref="AQ59:BJ59"/>
    <mergeCell ref="BK59:CB59"/>
    <mergeCell ref="CC59:DA59"/>
    <mergeCell ref="DB59:EC59"/>
    <mergeCell ref="ED61:FE61"/>
    <mergeCell ref="A62:U62"/>
    <mergeCell ref="V62:AP62"/>
    <mergeCell ref="AQ62:BJ63"/>
    <mergeCell ref="BK62:CB62"/>
    <mergeCell ref="CC62:DA62"/>
    <mergeCell ref="DB62:EC62"/>
    <mergeCell ref="ED62:FE62"/>
    <mergeCell ref="A63:U63"/>
    <mergeCell ref="V63:AP63"/>
    <mergeCell ref="A61:U61"/>
    <mergeCell ref="V61:AP61"/>
    <mergeCell ref="AQ61:BJ61"/>
    <mergeCell ref="BK61:CB61"/>
    <mergeCell ref="CC61:DA61"/>
    <mergeCell ref="DB61:EC61"/>
    <mergeCell ref="ED65:FE65"/>
    <mergeCell ref="A66:U66"/>
    <mergeCell ref="V66:AP66"/>
    <mergeCell ref="AQ66:BJ66"/>
    <mergeCell ref="BK66:CB66"/>
    <mergeCell ref="CC66:DA66"/>
    <mergeCell ref="DB66:EC66"/>
    <mergeCell ref="ED66:FE66"/>
    <mergeCell ref="BK63:CB63"/>
    <mergeCell ref="CC63:DA63"/>
    <mergeCell ref="DB63:EC63"/>
    <mergeCell ref="ED63:FE63"/>
    <mergeCell ref="A65:U65"/>
    <mergeCell ref="V65:AP65"/>
    <mergeCell ref="AQ65:BJ65"/>
    <mergeCell ref="BK65:CB65"/>
    <mergeCell ref="CC65:DA65"/>
    <mergeCell ref="DB65:EC65"/>
    <mergeCell ref="A64:U64"/>
    <mergeCell ref="V64:AP64"/>
    <mergeCell ref="AQ64:BJ64"/>
    <mergeCell ref="BK64:CB64"/>
    <mergeCell ref="CC64:DA64"/>
    <mergeCell ref="DB64:EC64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cp:lastPrinted>2023-04-07T13:29:06Z</cp:lastPrinted>
  <dcterms:created xsi:type="dcterms:W3CDTF">2023-01-10T06:17:23Z</dcterms:created>
  <dcterms:modified xsi:type="dcterms:W3CDTF">2023-04-07T13:29:46Z</dcterms:modified>
</cp:coreProperties>
</file>